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June 2026\"/>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1"/>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4" i="4"/>
  <c r="G44" i="4" s="1"/>
  <c r="L43" i="4"/>
  <c r="K44" i="4"/>
  <c r="I45" i="4" l="1"/>
  <c r="F45" i="4"/>
  <c r="G45" i="4" s="1"/>
  <c r="B47" i="4"/>
  <c r="H47" i="4" s="1"/>
  <c r="E45" i="4"/>
  <c r="M46" i="4"/>
  <c r="N46" i="4" s="1"/>
  <c r="D46" i="4"/>
  <c r="C46" i="4"/>
  <c r="J46" i="4" s="1"/>
  <c r="L44" i="4"/>
  <c r="K45" i="4"/>
  <c r="C47" i="4"/>
  <c r="D47" i="4" l="1"/>
  <c r="B48" i="4"/>
  <c r="H48" i="4" s="1"/>
  <c r="M47" i="4"/>
  <c r="N47" i="4" s="1"/>
  <c r="F46" i="4"/>
  <c r="G46" i="4" s="1"/>
  <c r="E46" i="4"/>
  <c r="I46" i="4"/>
  <c r="L45" i="4"/>
  <c r="K46" i="4"/>
  <c r="F47" i="4"/>
  <c r="J47" i="4"/>
  <c r="I47" i="4"/>
  <c r="E47" i="4"/>
  <c r="C48" i="4" l="1"/>
  <c r="J48" i="4" s="1"/>
  <c r="M48" i="4"/>
  <c r="N48" i="4" s="1"/>
  <c r="B49" i="4"/>
  <c r="H49" i="4" s="1"/>
  <c r="D48" i="4"/>
  <c r="K47" i="4"/>
  <c r="L46" i="4"/>
  <c r="G47" i="4"/>
  <c r="I48" i="4" l="1"/>
  <c r="E48" i="4"/>
  <c r="C49" i="4"/>
  <c r="J49" i="4" s="1"/>
  <c r="M49" i="4"/>
  <c r="N49" i="4" s="1"/>
  <c r="B50" i="4"/>
  <c r="H50" i="4" s="1"/>
  <c r="D49" i="4"/>
  <c r="F49" i="4" s="1"/>
  <c r="F48" i="4"/>
  <c r="G48" i="4" s="1"/>
  <c r="L47" i="4"/>
  <c r="K48" i="4"/>
  <c r="D50" i="4"/>
  <c r="M50" i="4"/>
  <c r="N50" i="4" s="1"/>
  <c r="B51" i="4"/>
  <c r="H51" i="4" s="1"/>
  <c r="C50" i="4"/>
  <c r="I49" i="4" l="1"/>
  <c r="E49" i="4"/>
  <c r="K49" i="4"/>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<sst xmlns="http://schemas.openxmlformats.org/spreadsheetml/2006/main" count="142" uniqueCount="116">
  <si>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</si>
  <si>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</si>
  <si>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</si>
  <si>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</si>
  <si>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</si>
  <si>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</si>
  <si>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</si>
  <si>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</si>
  <si>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</si>
  <si>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</si>
  <si>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</si>
  <si>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</si>
  <si>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</si>
  <si>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</si>
  <si>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</si>
  <si>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</si>
  <si>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</si>
  <si>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</si>
  <si>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</si>
  <si>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</si>
  <si>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</si>
  <si>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</si>
  <si>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</si>
  <si>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</si>
  <si>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</si>
  <si>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</si>
  <si>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</si>
  <si>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</si>
  <si>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</si>
  <si>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</si>
  <si>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</si>
  <si>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</si>
  <si>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</si>
  <si>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</si>
  <si>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</si>
  <si>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</si>
  <si>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</si>
  <si>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</si>
  <si>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</si>
  <si>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</si>
  <si>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</si>
  <si>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</si>
  <si>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</si>
  <si>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</si>
  <si>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</si>
  <si>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</si>
  <si>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</si>
  <si>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</si>
  <si>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</si>
  <si>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</si>
  <si>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</si>
  <si>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</si>
  <si>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</si>
  <si>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</si>
  <si>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</si>
  <si>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</si>
  <si>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</si>
  <si>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</si>
  <si>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</si>
  <si>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</si>
  <si>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</si>
  <si>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</si>
  <si>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</si>
  <si>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</si>
  <si>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</si>
  <si>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</si>
  <si>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</si>
  <si>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</si>
  <si>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</si>
  <si>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</si>
  <si>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</si>
  <si>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</si>
  <si>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</si>
  <si>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</si>
  <si>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</si>
  <si>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</si>
  <si>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</si>
  <si>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</si>
  <si>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</si>
  <si>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</si>
  <si>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</si>
  <si>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</si>
  <si>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</si>
  <si>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</si>
  <si>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</si>
  <si>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</si>
  <si>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</si>
  <si>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</si>
  <si>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</si>
  <si>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</si>
  <si>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</si>
  <si>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</si>
  <si>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</si>
  <si>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</si>
  <si>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</si>
  <si>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</si>
  <si>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</si>
  <si>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</si>
  <si>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</si>
  <si>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</si>
  <si>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</si>
  <si>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</si>
  <si>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</si>
  <si>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</si>
  <si>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</si>
  <si>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</si>
  <si>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</si>
  <si>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</si>
  <si>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</si>
  <si>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</si>
  <si>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</si>
  <si>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</si>
  <si>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</si>
  <si>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</si>
  <si>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</si>
  <si>
    <t>Saleem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</si>
</sst>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84" totalsRowShown="0" headerRowDxfId="9" dataDxfId="8" tableBorderDxfId="7" dataCellStyle="Percent">
  <autoFilter ref="A1:G84"/>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topLeftCell="A4" workbookViewId="0">
      <selection activeCell="C16" sqref="C16"/>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45895</v>
      </c>
      <c r="F3" s="1" t="str">
        <f>TEXT(E3,"mmm-yy")</f>
        <v>Aug-25</v>
      </c>
      <c r="G3" s="1">
        <f>EOMONTH(E3,0)</f>
        <v>45900</v>
      </c>
      <c r="H3">
        <f>IF(F3=F4,G5,G3-B11+1)</f>
        <v>6</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5,627.40/- From Customer Account and Credit PL 52671 (Income on Pre Mature Encashment) </v>
      </c>
      <c r="K3" s="155"/>
    </row>
    <row r="4" spans="1:21" ht="24" customHeight="1" x14ac:dyDescent="0.35">
      <c r="A4" s="91" t="s">
        <v>105</v>
      </c>
      <c r="B4" s="120"/>
      <c r="D4" t="s">
        <v>29</v>
      </c>
      <c r="E4" s="1">
        <f>IF(B13="","",B13)</f>
        <v>46211</v>
      </c>
      <c r="F4" s="1" t="str">
        <f>TEXT(E4,"mmm-yy")</f>
        <v>Jul-26</v>
      </c>
      <c r="G4" s="1">
        <f>EOMONTH(B13,-1)+1</f>
        <v>46204</v>
      </c>
      <c r="H4">
        <f>E4-G4</f>
        <v>7</v>
      </c>
      <c r="I4" s="14" t="s">
        <v>17</v>
      </c>
      <c r="J4" s="156"/>
      <c r="K4" s="156"/>
    </row>
    <row r="5" spans="1:21" ht="21" x14ac:dyDescent="0.35">
      <c r="A5" s="153" t="s">
        <v>100</v>
      </c>
      <c r="B5" s="153"/>
      <c r="C5" s="88" t="s">
        <v>101</v>
      </c>
      <c r="E5" s="20" t="s">
        <v>30</v>
      </c>
      <c r="F5" s="20"/>
      <c r="G5" s="85">
        <f>_xlfn.DAYS(E4,E3)</f>
        <v>316</v>
      </c>
      <c r="I5" s="14" t="s">
        <v>18</v>
      </c>
    </row>
    <row r="6" spans="1:21" ht="21" x14ac:dyDescent="0.35">
      <c r="A6" s="68" t="s">
        <v>7</v>
      </c>
      <c r="B6" s="69" t="s">
        <v>115</v>
      </c>
      <c r="E6" s="1"/>
      <c r="F6" s="1"/>
      <c r="I6" s="14" t="s">
        <v>19</v>
      </c>
    </row>
    <row r="7" spans="1:21" ht="21.75" thickBot="1" x14ac:dyDescent="0.4">
      <c r="A7" s="4" t="s">
        <v>8</v>
      </c>
      <c r="B7" s="5">
        <v>3001330647</v>
      </c>
    </row>
    <row r="8" spans="1:21" ht="21.75" thickBot="1" x14ac:dyDescent="0.4">
      <c r="A8" s="3" t="s">
        <v>9</v>
      </c>
      <c r="B8" s="5">
        <v>3005290219</v>
      </c>
      <c r="I8" s="14" t="s">
        <v>89</v>
      </c>
    </row>
    <row r="9" spans="1:21" ht="21" x14ac:dyDescent="0.35">
      <c r="A9" s="6" t="s">
        <v>82</v>
      </c>
      <c r="B9" s="7">
        <v>5000000</v>
      </c>
      <c r="I9" s="14" t="s">
        <v>88</v>
      </c>
    </row>
    <row r="10" spans="1:21" ht="21.75" thickBot="1" x14ac:dyDescent="0.4">
      <c r="A10" s="4" t="s">
        <v>81</v>
      </c>
      <c r="B10" s="8" t="s">
        <v>15</v>
      </c>
    </row>
    <row r="11" spans="1:21" ht="21.75" thickBot="1" x14ac:dyDescent="0.4">
      <c r="A11" s="3" t="s">
        <v>10</v>
      </c>
      <c r="B11" s="72">
        <v>45895</v>
      </c>
      <c r="C11" s="88" t="s">
        <v>102</v>
      </c>
      <c r="I11" s="2" t="s">
        <v>90</v>
      </c>
    </row>
    <row r="12" spans="1:21" ht="21.75" thickBot="1" x14ac:dyDescent="0.4">
      <c r="A12" s="9" t="s">
        <v>103</v>
      </c>
      <c r="B12" s="74">
        <f>IF(B10=I2,EDATE(B11,12),IF(B10=I3,EDATE(B11,24),IF(B10=I4,EDATE(B11,36),IF(B10=I5,EDATE(B11,48),IF(B10=I6,EDATE(B11,60),"")))))</f>
        <v>46260</v>
      </c>
      <c r="C12" s="90" t="str">
        <f>IF(B12&lt;B13,"INPUT ROLLOVER DATE","")</f>
        <v/>
      </c>
      <c r="I12" s="2" t="s">
        <v>91</v>
      </c>
    </row>
    <row r="13" spans="1:21" ht="21.75" thickBot="1" x14ac:dyDescent="0.4">
      <c r="A13" s="10" t="s">
        <v>11</v>
      </c>
      <c r="B13" s="72">
        <v>46211</v>
      </c>
      <c r="C13" s="89" t="str">
        <f ca="1">IF(B13&gt;TODAY(),"Input Correct Date",IF(B11&gt;B13,"Issuance/Re-issuance Date Cannot be greater than Premature Encashment Date",IF(B12=B13,"The Certificate will mature today. Please encash Certificate tomorrow.","OK")))</f>
        <v>OK</v>
      </c>
      <c r="I13" s="2" t="s">
        <v>92</v>
      </c>
    </row>
    <row r="14" spans="1:21" ht="21.75" hidden="1" thickBot="1" x14ac:dyDescent="0.4">
      <c r="A14" s="11" t="s">
        <v>12</v>
      </c>
      <c r="B14" s="21">
        <f>B13</f>
        <v>46211</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workbookViewId="0">
      <selection activeCell="O7" sqref="O7"/>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4" t="s">
        <v>83</v>
      </c>
      <c r="B1" s="165"/>
      <c r="C1" s="166"/>
      <c r="D1" s="55"/>
      <c r="E1" s="54"/>
      <c r="F1" s="164" t="s">
        <v>84</v>
      </c>
      <c r="G1" s="166"/>
      <c r="H1" s="54"/>
      <c r="I1" s="54"/>
      <c r="J1" s="164" t="s">
        <v>9</v>
      </c>
      <c r="K1" s="165"/>
      <c r="L1" s="166"/>
      <c r="M1" s="129"/>
      <c r="N1" s="129"/>
      <c r="O1" s="54"/>
      <c r="P1" s="54"/>
    </row>
    <row r="2" spans="1:16" ht="15.75" x14ac:dyDescent="0.25">
      <c r="A2" s="169">
        <f>Input!B3</f>
        <v>0</v>
      </c>
      <c r="B2" s="169"/>
      <c r="C2" s="170"/>
      <c r="D2" s="56"/>
      <c r="E2" s="54"/>
      <c r="F2" s="168" t="str">
        <f>Input!B6</f>
        <v>Saleem</v>
      </c>
      <c r="G2" s="170"/>
      <c r="H2" s="54"/>
      <c r="I2" s="54"/>
      <c r="J2" s="168">
        <f>Input!B8</f>
        <v>3005290219</v>
      </c>
      <c r="K2" s="169"/>
      <c r="L2" s="170"/>
      <c r="M2" s="130"/>
      <c r="N2" s="130"/>
      <c r="O2" s="54"/>
      <c r="P2" s="54"/>
    </row>
    <row r="3" spans="1:16" s="18" customFormat="1" ht="30" x14ac:dyDescent="0.25">
      <c r="A3" s="160" t="s">
        <v>23</v>
      </c>
      <c r="B3" s="161"/>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2" t="str">
        <f>TEXT(Input!$B$9,"#,###,###.00")</f>
        <v>5,000,000.00</v>
      </c>
      <c r="B4" s="163"/>
      <c r="C4" s="58">
        <f>IFERROR(Input!G5,"")</f>
        <v>316</v>
      </c>
      <c r="D4" s="77"/>
      <c r="E4" s="78"/>
      <c r="F4" s="61" t="str">
        <f>TEXT(SUM('Calculation sheet'!$G$7:$G$66),"#,###,###.00")</f>
        <v>356,783.56</v>
      </c>
      <c r="G4" s="61" t="str">
        <f>TEXT(SUM('Calculation sheet'!$K$7:$K$66),"#,###,###.00")</f>
        <v>362,410.96</v>
      </c>
      <c r="H4" s="78"/>
      <c r="I4" s="78"/>
      <c r="J4" s="59" t="str">
        <f>TEXT(A4+F4-G4,"#,###,###.00")</f>
        <v>4,994,372.60</v>
      </c>
      <c r="K4" s="60" t="str">
        <f>TEXT(G4-F4,"#,###,###.00")</f>
        <v>5,627.40</v>
      </c>
      <c r="L4" s="60" t="str">
        <f>Input!B16</f>
        <v>Yes</v>
      </c>
      <c r="M4" s="60"/>
      <c r="N4" s="60"/>
      <c r="O4" s="167" t="str">
        <f>IF(K4&gt;0,"Recover Rs. "&amp;TEXT(K4,"#,###,##.00")&amp;"/- From Customer Account and Credit PL 52671 (Income on Pre Mature Encashment) ","")</f>
        <v xml:space="preserve">Recover Rs. 5,627.40/- From Customer Account and Credit PL 52671 (Income on Pre Mature Encashment) </v>
      </c>
      <c r="P4" s="167"/>
    </row>
    <row r="5" spans="1:16" ht="27.75" customHeight="1" x14ac:dyDescent="0.25">
      <c r="A5" s="157" t="s">
        <v>98</v>
      </c>
      <c r="B5" s="157"/>
      <c r="C5" s="157"/>
      <c r="D5" s="78"/>
      <c r="E5" s="78"/>
      <c r="F5" s="65" t="str">
        <f>IFERROR(IF(AND($C$4&gt;0,$C$4&lt;365),"IMC PLS Rate",IF(AND($C$4&gt;=365,$C$4&lt;730),"IMC 1 Year",IF(AND($C$4&gt;=730,$C$4&lt;1095),"IMC 2 Year",IF(AND($C$4&gt;=1095,$C$4&lt;1460),"IMC 3 Year",IF(AND($C$4&gt;=1460,$C$4&lt;1825),"IMC 4 Year",IF(AND($C$4&gt;=1825),"IMC 5 Year","")))))),"")</f>
        <v>IMC PLS Rate</v>
      </c>
      <c r="G5" s="86" t="str">
        <f>Input!C12</f>
        <v/>
      </c>
      <c r="H5" s="63"/>
      <c r="I5" s="64"/>
      <c r="J5" s="158" t="s">
        <v>99</v>
      </c>
      <c r="K5" s="159"/>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45895</v>
      </c>
      <c r="C7" s="104">
        <f>IF('Calculation sheet'!$B7="","",Input!H3)</f>
        <v>6</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8.4699999999999998E-2</v>
      </c>
      <c r="E7" s="105">
        <f>IF(AND('Calculation sheet'!$C7&lt;&gt;0,'Calculation sheet'!$D7=0%),D6,'Calculation sheet'!$D7)</f>
        <v>8.4699999999999998E-2</v>
      </c>
      <c r="F7" s="105">
        <f>IF(C7&lt;&gt;0,D7,"")</f>
        <v>8.4699999999999998E-2</v>
      </c>
      <c r="G7" s="106">
        <f>IFERROR(IF('Calculation sheet'!$F7&lt;&gt;"",$A$4*'Calculation sheet'!$C7*'Calculation sheet'!$F7/N7,""),"")</f>
        <v>6961.6438356164381</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8.5999999999999993E-2</v>
      </c>
      <c r="I7" s="105">
        <f>IF(AND('Calculation sheet'!$C7&lt;&gt;0,'Calculation sheet'!$H7=0%),H6,'Calculation sheet'!$H7)</f>
        <v>8.5999999999999993E-2</v>
      </c>
      <c r="J7" s="108">
        <f>IF(C7&lt;&gt;0,H7,"")</f>
        <v>8.5999999999999993E-2</v>
      </c>
      <c r="K7" s="106">
        <f>IFERROR($A$4*'Calculation sheet'!$C7*'Calculation sheet'!$J7/N7,"")</f>
        <v>7068.4931506849316</v>
      </c>
      <c r="L7" s="110">
        <f>IFERROR('Calculation sheet'!$K7-'Calculation sheet'!$G7,"")</f>
        <v>106.84931506849352</v>
      </c>
      <c r="M7">
        <f>IF(B7="","",YEAR(B7))</f>
        <v>2025</v>
      </c>
      <c r="N7" s="133">
        <f>IF(M7="","",IF(OR(MOD(M7,4)=0,AND(MOD(M7,100)&lt;&gt;0,MOD(M7,400)=0)),366,365))</f>
        <v>365</v>
      </c>
      <c r="O7" s="54"/>
      <c r="P7" s="54"/>
    </row>
    <row r="8" spans="1:16" x14ac:dyDescent="0.25">
      <c r="A8" s="101">
        <v>2</v>
      </c>
      <c r="B8" s="111">
        <f>IFERROR(IF(DATE(YEAR(B7),MONTH(B7),1)&gt;=DATE(YEAR(Input!$E$4),MONTH(Input!$E$4),1),"",DATE(YEAR(B7),MONTH(B7)+1,1)),"")</f>
        <v>45901</v>
      </c>
      <c r="C8" s="112">
        <f>IFERROR(IF(DATE(YEAR('Calculation sheet'!$B8),MONTH('Calculation sheet'!$B8),1)=DATE(YEAR(Input!$E$4),MONTH(Input!$E$4),1),Input!$H$4,IF('Calculation sheet'!$B8&lt;&gt;"",DAY(EOMONTH('Calculation sheet'!$B8,0)),"")),"")</f>
        <v>30</v>
      </c>
      <c r="D8" s="105">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8.4699999999999998E-2</v>
      </c>
      <c r="E8" s="113">
        <f>IF(AND('Calculation sheet'!$C8&lt;&gt;0,'Calculation sheet'!$D8=0%),D7,'Calculation sheet'!$D8)</f>
        <v>8.4699999999999998E-2</v>
      </c>
      <c r="F8" s="105">
        <f t="shared" ref="F8:F49" si="0">IF(C8&lt;&gt;0,D8,"")</f>
        <v>8.4699999999999998E-2</v>
      </c>
      <c r="G8" s="106">
        <f>IFERROR(IF('Calculation sheet'!$F8&lt;&gt;"",$A$4*'Calculation sheet'!$C8*'Calculation sheet'!$F8/N8,""),"")</f>
        <v>34808.219178082189</v>
      </c>
      <c r="H8" s="105">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8.5999999999999993E-2</v>
      </c>
      <c r="I8" s="113">
        <f>IF(AND('Calculation sheet'!$C8&lt;&gt;0,'Calculation sheet'!$H8=0%),H7,'Calculation sheet'!$H8)</f>
        <v>8.5999999999999993E-2</v>
      </c>
      <c r="J8" s="108">
        <f t="shared" ref="J8:J66" si="1">IF(C8&lt;&gt;0,H8,"")</f>
        <v>8.5999999999999993E-2</v>
      </c>
      <c r="K8" s="106">
        <f>IFERROR($A$4*'Calculation sheet'!$C8*'Calculation sheet'!$J8/N8,"")</f>
        <v>35342.465753424651</v>
      </c>
      <c r="L8" s="115">
        <f>IFERROR('Calculation sheet'!$K8-'Calculation sheet'!$G8,"")</f>
        <v>534.24657534246217</v>
      </c>
      <c r="M8">
        <f t="shared" ref="M8:M66" si="2">IF(B8="","",YEAR(B8))</f>
        <v>2025</v>
      </c>
      <c r="N8" s="133">
        <f t="shared" ref="N8:N66" si="3">IF(M8="","",IF(OR(MOD(M8,4)=0,AND(MOD(M8,100)&lt;&gt;0,MOD(M8,400)=0)),366,365))</f>
        <v>365</v>
      </c>
      <c r="O8" s="54"/>
      <c r="P8" s="54"/>
    </row>
    <row r="9" spans="1:16" x14ac:dyDescent="0.25">
      <c r="A9" s="100">
        <v>3</v>
      </c>
      <c r="B9" s="103">
        <f>IFERROR(IF(DATE(YEAR(B8),MONTH(B8),1)&gt;=DATE(YEAR(Input!$E$4),MONTH(Input!$E$4),1),"",DATE(YEAR(B8),MONTH(B8)+1,1)),"")</f>
        <v>45931</v>
      </c>
      <c r="C9" s="104">
        <f>IFERROR(IF(DATE(YEAR('Calculation sheet'!$B9),MONTH('Calculation sheet'!$B9),1)=DATE(YEAR(Input!$E$4),MONTH(Input!$E$4),1),Input!$H$4,IF('Calculation sheet'!$B9&lt;&gt;"",DAY(EOMONTH('Calculation sheet'!$B9,0)),"")),"")</f>
        <v>31</v>
      </c>
      <c r="D9" s="105">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8.4699999999999998E-2</v>
      </c>
      <c r="E9" s="105">
        <f>IF(AND('Calculation sheet'!$C9&lt;&gt;0,'Calculation sheet'!$D9=0%),D8,'Calculation sheet'!$D9)</f>
        <v>8.4699999999999998E-2</v>
      </c>
      <c r="F9" s="105">
        <f t="shared" si="0"/>
        <v>8.4699999999999998E-2</v>
      </c>
      <c r="G9" s="106">
        <f>IFERROR(IF('Calculation sheet'!$F9&lt;&gt;"",$A$4*'Calculation sheet'!$C9*'Calculation sheet'!$F9/N9,""),"")</f>
        <v>35968.493150684932</v>
      </c>
      <c r="H9" s="105">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8.5999999999999993E-2</v>
      </c>
      <c r="I9" s="107">
        <f>IF(AND('Calculation sheet'!$C9&lt;&gt;0,'Calculation sheet'!$H9=0%),H8,'Calculation sheet'!$H9)</f>
        <v>8.5999999999999993E-2</v>
      </c>
      <c r="J9" s="108">
        <f>IF(C9&lt;&gt;0,H9,"")</f>
        <v>8.5999999999999993E-2</v>
      </c>
      <c r="K9" s="106">
        <f>IFERROR($A$4*'Calculation sheet'!$C9*'Calculation sheet'!$J9/N9,"")</f>
        <v>36520.547945205471</v>
      </c>
      <c r="L9" s="110">
        <f>IFERROR('Calculation sheet'!$K9-'Calculation sheet'!$G9,"")</f>
        <v>552.05479452053987</v>
      </c>
      <c r="M9">
        <f t="shared" si="2"/>
        <v>2025</v>
      </c>
      <c r="N9" s="133">
        <f t="shared" si="3"/>
        <v>365</v>
      </c>
      <c r="O9" s="54"/>
      <c r="P9" s="54"/>
    </row>
    <row r="10" spans="1:16" x14ac:dyDescent="0.25">
      <c r="A10" s="101">
        <v>4</v>
      </c>
      <c r="B10" s="111">
        <f>IFERROR(IF(DATE(YEAR(B9),MONTH(B9),1)&gt;=DATE(YEAR(Input!$E$4),MONTH(Input!$E$4),1),"",DATE(YEAR(B9),MONTH(B9)+1,1)),"")</f>
        <v>45962</v>
      </c>
      <c r="C10" s="112">
        <f>IFERROR(IF(DATE(YEAR('Calculation sheet'!$B10),MONTH('Calculation sheet'!$B10),1)=DATE(YEAR(Input!$E$4),MONTH(Input!$E$4),1),Input!$H$4,IF('Calculation sheet'!$B10&lt;&gt;"",DAY(EOMONTH('Calculation sheet'!$B10,0)),"")),"")</f>
        <v>30</v>
      </c>
      <c r="D10" s="105">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8.4699999999999998E-2</v>
      </c>
      <c r="E10" s="113">
        <f>IF(AND('Calculation sheet'!$C10&lt;&gt;0,'Calculation sheet'!$D10=0%),D9,'Calculation sheet'!$D10)</f>
        <v>8.4699999999999998E-2</v>
      </c>
      <c r="F10" s="105">
        <f t="shared" si="0"/>
        <v>8.4699999999999998E-2</v>
      </c>
      <c r="G10" s="106">
        <f>IFERROR(IF('Calculation sheet'!$F10&lt;&gt;"",$A$4*'Calculation sheet'!$C10*'Calculation sheet'!$F10/N10,""),"")</f>
        <v>34808.219178082189</v>
      </c>
      <c r="H10" s="105">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8.5999999999999993E-2</v>
      </c>
      <c r="I10" s="114">
        <f>IF(AND('Calculation sheet'!$C10&lt;&gt;0,'Calculation sheet'!$H10=0%),H9,'Calculation sheet'!$H10)</f>
        <v>8.5999999999999993E-2</v>
      </c>
      <c r="J10" s="108">
        <f t="shared" si="1"/>
        <v>8.5999999999999993E-2</v>
      </c>
      <c r="K10" s="106">
        <f>IFERROR($A$4*'Calculation sheet'!$C10*'Calculation sheet'!$J10/N10,"")</f>
        <v>35342.465753424651</v>
      </c>
      <c r="L10" s="115">
        <f>IFERROR('Calculation sheet'!$K10-'Calculation sheet'!$G10,"")</f>
        <v>534.24657534246217</v>
      </c>
      <c r="M10">
        <f t="shared" si="2"/>
        <v>2025</v>
      </c>
      <c r="N10" s="133">
        <f t="shared" si="3"/>
        <v>365</v>
      </c>
      <c r="O10" s="54"/>
      <c r="P10" s="54"/>
    </row>
    <row r="11" spans="1:16" x14ac:dyDescent="0.25">
      <c r="A11" s="100">
        <v>5</v>
      </c>
      <c r="B11" s="103">
        <f>IFERROR(IF(DATE(YEAR(B10),MONTH(B10),1)&gt;=DATE(YEAR(Input!$E$4),MONTH(Input!$E$4),1),"",DATE(YEAR(B10),MONTH(B10)+1,1)),"")</f>
        <v>45992</v>
      </c>
      <c r="C11" s="104">
        <f>IFERROR(IF(DATE(YEAR('Calculation sheet'!$B11),MONTH('Calculation sheet'!$B11),1)=DATE(YEAR(Input!$E$4),MONTH(Input!$E$4),1),Input!$H$4,IF('Calculation sheet'!$B11&lt;&gt;"",DAY(EOMONTH('Calculation sheet'!$B11,0)),"")),"")</f>
        <v>31</v>
      </c>
      <c r="D11" s="105">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8.2699999999999996E-2</v>
      </c>
      <c r="E11" s="105">
        <f>IF(AND('Calculation sheet'!$C11&lt;&gt;0,'Calculation sheet'!$D11=0%),D10,'Calculation sheet'!$D11)</f>
        <v>8.2699999999999996E-2</v>
      </c>
      <c r="F11" s="105">
        <f t="shared" si="0"/>
        <v>8.2699999999999996E-2</v>
      </c>
      <c r="G11" s="106">
        <f>IFERROR(IF('Calculation sheet'!$F11&lt;&gt;"",$A$4*'Calculation sheet'!$C11*'Calculation sheet'!$F11/N11,""),"")</f>
        <v>35119.178082191778</v>
      </c>
      <c r="H11" s="105">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8.4000000000000005E-2</v>
      </c>
      <c r="I11" s="107">
        <f>IF(AND('Calculation sheet'!$C11&lt;&gt;0,'Calculation sheet'!$H11=0%),H10,'Calculation sheet'!$H11)</f>
        <v>8.4000000000000005E-2</v>
      </c>
      <c r="J11" s="108">
        <f t="shared" si="1"/>
        <v>8.4000000000000005E-2</v>
      </c>
      <c r="K11" s="106">
        <f>IFERROR($A$4*'Calculation sheet'!$C11*'Calculation sheet'!$J11/N11,"")</f>
        <v>35671.232876712325</v>
      </c>
      <c r="L11" s="110">
        <f>IFERROR('Calculation sheet'!$K11-'Calculation sheet'!$G11,"")</f>
        <v>552.05479452054715</v>
      </c>
      <c r="M11">
        <f t="shared" si="2"/>
        <v>2025</v>
      </c>
      <c r="N11" s="133">
        <f t="shared" si="3"/>
        <v>365</v>
      </c>
      <c r="O11" s="54"/>
      <c r="P11" s="54"/>
    </row>
    <row r="12" spans="1:16" x14ac:dyDescent="0.25">
      <c r="A12" s="101">
        <v>6</v>
      </c>
      <c r="B12" s="111">
        <f>IFERROR(IF(DATE(YEAR(B11),MONTH(B11),1)&gt;=DATE(YEAR(Input!$E$4),MONTH(Input!$E$4),1),"",DATE(YEAR(B11),MONTH(B11)+1,1)),"")</f>
        <v>46023</v>
      </c>
      <c r="C12" s="112">
        <f>IFERROR(IF(DATE(YEAR('Calculation sheet'!$B12),MONTH('Calculation sheet'!$B12),1)=DATE(YEAR(Input!$E$4),MONTH(Input!$E$4),1),Input!$H$4,IF('Calculation sheet'!$B12&lt;&gt;"",DAY(EOMONTH('Calculation sheet'!$B12,0)),"")),"")</f>
        <v>31</v>
      </c>
      <c r="D12" s="105">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8.1199999999999994E-2</v>
      </c>
      <c r="E12" s="113">
        <f>IF(AND('Calculation sheet'!$C12&lt;&gt;0,'Calculation sheet'!$D12=0%),D11,'Calculation sheet'!$D12)</f>
        <v>8.1199999999999994E-2</v>
      </c>
      <c r="F12" s="105">
        <f t="shared" si="0"/>
        <v>8.1199999999999994E-2</v>
      </c>
      <c r="G12" s="106">
        <f>IFERROR(IF('Calculation sheet'!$F12&lt;&gt;"",$A$4*'Calculation sheet'!$C12*'Calculation sheet'!$F12/N12,""),"")</f>
        <v>34482.191780821915</v>
      </c>
      <c r="H12" s="105">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8.2500000000000004E-2</v>
      </c>
      <c r="I12" s="114">
        <f>IF(AND('Calculation sheet'!$C12&lt;&gt;0,'Calculation sheet'!$H12=0%),H11,'Calculation sheet'!$H12)</f>
        <v>8.2500000000000004E-2</v>
      </c>
      <c r="J12" s="108">
        <f t="shared" si="1"/>
        <v>8.2500000000000004E-2</v>
      </c>
      <c r="K12" s="106">
        <f>IFERROR($A$4*'Calculation sheet'!$C12*'Calculation sheet'!$J12/N12,"")</f>
        <v>35034.246575342462</v>
      </c>
      <c r="L12" s="115">
        <f>IFERROR('Calculation sheet'!$K12-'Calculation sheet'!$G12,"")</f>
        <v>552.05479452054715</v>
      </c>
      <c r="M12">
        <f t="shared" si="2"/>
        <v>2026</v>
      </c>
      <c r="N12" s="133">
        <f t="shared" si="3"/>
        <v>365</v>
      </c>
      <c r="O12" s="54"/>
      <c r="P12" s="54"/>
    </row>
    <row r="13" spans="1:16" x14ac:dyDescent="0.25">
      <c r="A13" s="100">
        <v>7</v>
      </c>
      <c r="B13" s="103">
        <f>IFERROR(IF(DATE(YEAR(B12),MONTH(B12),1)&gt;=DATE(YEAR(Input!$E$4),MONTH(Input!$E$4),1),"",DATE(YEAR(B12),MONTH(B12)+1,1)),"")</f>
        <v>46054</v>
      </c>
      <c r="C13" s="104">
        <f>IFERROR(IF(DATE(YEAR('Calculation sheet'!$B13),MONTH('Calculation sheet'!$B13),1)=DATE(YEAR(Input!$E$4),MONTH(Input!$E$4),1),Input!$H$4,IF('Calculation sheet'!$B13&lt;&gt;"",DAY(EOMONTH('Calculation sheet'!$B13,0)),"")),"")</f>
        <v>28</v>
      </c>
      <c r="D13" s="105">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8.1199999999999994E-2</v>
      </c>
      <c r="E13" s="105">
        <f>IF(AND('Calculation sheet'!$C13&lt;&gt;0,'Calculation sheet'!$D13=0%),D12,'Calculation sheet'!$D13)</f>
        <v>8.1199999999999994E-2</v>
      </c>
      <c r="F13" s="105">
        <f t="shared" si="0"/>
        <v>8.1199999999999994E-2</v>
      </c>
      <c r="G13" s="106">
        <f>IFERROR(IF('Calculation sheet'!$F13&lt;&gt;"",$A$4*'Calculation sheet'!$C13*'Calculation sheet'!$F13/N13,""),"")</f>
        <v>31145.205479452055</v>
      </c>
      <c r="H13" s="105">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8.2500000000000004E-2</v>
      </c>
      <c r="I13" s="107">
        <f>IF(AND('Calculation sheet'!$C13&lt;&gt;0,'Calculation sheet'!$H13=0%),H12,'Calculation sheet'!$H13)</f>
        <v>8.2500000000000004E-2</v>
      </c>
      <c r="J13" s="108">
        <f t="shared" si="1"/>
        <v>8.2500000000000004E-2</v>
      </c>
      <c r="K13" s="106">
        <f>IFERROR($A$4*'Calculation sheet'!$C13*'Calculation sheet'!$J13/N13,"")</f>
        <v>31643.835616438355</v>
      </c>
      <c r="L13" s="110">
        <f>IFERROR('Calculation sheet'!$K13-'Calculation sheet'!$G13,"")</f>
        <v>498.63013698629948</v>
      </c>
      <c r="M13">
        <f t="shared" si="2"/>
        <v>2026</v>
      </c>
      <c r="N13" s="133">
        <f t="shared" si="3"/>
        <v>365</v>
      </c>
      <c r="O13" s="54"/>
      <c r="P13" s="54"/>
    </row>
    <row r="14" spans="1:16" x14ac:dyDescent="0.25">
      <c r="A14" s="101">
        <v>8</v>
      </c>
      <c r="B14" s="111">
        <f>IFERROR(IF(DATE(YEAR(B13),MONTH(B13),1)&gt;=DATE(YEAR(Input!$E$4),MONTH(Input!$E$4),1),"",DATE(YEAR(B13),MONTH(B13)+1,1)),"")</f>
        <v>46082</v>
      </c>
      <c r="C14" s="112">
        <f>IFERROR(IF(DATE(YEAR('Calculation sheet'!$B14),MONTH('Calculation sheet'!$B14),1)=DATE(YEAR(Input!$E$4),MONTH(Input!$E$4),1),Input!$H$4,IF('Calculation sheet'!$B14&lt;&gt;"",DAY(EOMONTH('Calculation sheet'!$B14,0)),"")),"")</f>
        <v>31</v>
      </c>
      <c r="D14" s="105">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8.1199999999999994E-2</v>
      </c>
      <c r="E14" s="113">
        <f>IF(AND('Calculation sheet'!$C14&lt;&gt;0,'Calculation sheet'!$D14=0%),D13,'Calculation sheet'!$D14)</f>
        <v>8.1199999999999994E-2</v>
      </c>
      <c r="F14" s="105">
        <f t="shared" si="0"/>
        <v>8.1199999999999994E-2</v>
      </c>
      <c r="G14" s="106">
        <f>IFERROR(IF('Calculation sheet'!$F14&lt;&gt;"",$A$4*'Calculation sheet'!$C14*'Calculation sheet'!$F14/N14,""),"")</f>
        <v>34482.191780821915</v>
      </c>
      <c r="H14" s="105">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8.2500000000000004E-2</v>
      </c>
      <c r="I14" s="114">
        <f>IF(AND('Calculation sheet'!$C14&lt;&gt;0,'Calculation sheet'!$H14=0%),H13,'Calculation sheet'!$H14)</f>
        <v>8.2500000000000004E-2</v>
      </c>
      <c r="J14" s="108">
        <f t="shared" si="1"/>
        <v>8.2500000000000004E-2</v>
      </c>
      <c r="K14" s="106">
        <f>IFERROR($A$4*'Calculation sheet'!$C14*'Calculation sheet'!$J14/N14,"")</f>
        <v>35034.246575342462</v>
      </c>
      <c r="L14" s="115">
        <f>IFERROR('Calculation sheet'!$K14-'Calculation sheet'!$G14,"")</f>
        <v>552.05479452054715</v>
      </c>
      <c r="M14">
        <f t="shared" si="2"/>
        <v>2026</v>
      </c>
      <c r="N14" s="133">
        <f t="shared" si="3"/>
        <v>365</v>
      </c>
      <c r="O14" s="54"/>
      <c r="P14" s="54"/>
    </row>
    <row r="15" spans="1:16" x14ac:dyDescent="0.25">
      <c r="A15" s="100">
        <v>9</v>
      </c>
      <c r="B15" s="103">
        <f>IFERROR(IF(DATE(YEAR(B14),MONTH(B14),1)&gt;=DATE(YEAR(Input!$E$4),MONTH(Input!$E$4),1),"",DATE(YEAR(B14),MONTH(B14)+1,1)),"")</f>
        <v>46113</v>
      </c>
      <c r="C15" s="104">
        <f>IFERROR(IF(DATE(YEAR('Calculation sheet'!$B15),MONTH('Calculation sheet'!$B15),1)=DATE(YEAR(Input!$E$4),MONTH(Input!$E$4),1),Input!$H$4,IF('Calculation sheet'!$B15&lt;&gt;"",DAY(EOMONTH('Calculation sheet'!$B15,0)),"")),"")</f>
        <v>30</v>
      </c>
      <c r="D15" s="105">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8.1199999999999994E-2</v>
      </c>
      <c r="E15" s="105">
        <f>IF(AND('Calculation sheet'!$C15&lt;&gt;0,'Calculation sheet'!$D15=0%),D14,'Calculation sheet'!$D15)</f>
        <v>8.1199999999999994E-2</v>
      </c>
      <c r="F15" s="105">
        <f t="shared" si="0"/>
        <v>8.1199999999999994E-2</v>
      </c>
      <c r="G15" s="106">
        <f>IFERROR(IF('Calculation sheet'!$F15&lt;&gt;"",$A$4*'Calculation sheet'!$C15*'Calculation sheet'!$F15/N15,""),"")</f>
        <v>33369.863013698632</v>
      </c>
      <c r="H15" s="105">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8.2500000000000004E-2</v>
      </c>
      <c r="I15" s="107">
        <f>IF(AND('Calculation sheet'!$C15&lt;&gt;0,'Calculation sheet'!$H15=0%),H14,'Calculation sheet'!$H15)</f>
        <v>8.2500000000000004E-2</v>
      </c>
      <c r="J15" s="108">
        <f t="shared" si="1"/>
        <v>8.2500000000000004E-2</v>
      </c>
      <c r="K15" s="106">
        <f>IFERROR($A$4*'Calculation sheet'!$C15*'Calculation sheet'!$J15/N15,"")</f>
        <v>33904.109589041094</v>
      </c>
      <c r="L15" s="110">
        <f>IFERROR('Calculation sheet'!$K15-'Calculation sheet'!$G15,"")</f>
        <v>534.24657534246217</v>
      </c>
      <c r="M15">
        <f t="shared" si="2"/>
        <v>2026</v>
      </c>
      <c r="N15" s="133">
        <f t="shared" si="3"/>
        <v>365</v>
      </c>
      <c r="O15" s="54"/>
      <c r="P15" s="54"/>
    </row>
    <row r="16" spans="1:16" x14ac:dyDescent="0.25">
      <c r="A16" s="101">
        <v>10</v>
      </c>
      <c r="B16" s="111">
        <f>IFERROR(IF(DATE(YEAR(B15),MONTH(B15),1)&gt;=DATE(YEAR(Input!$E$4),MONTH(Input!$E$4),1),"",DATE(YEAR(B15),MONTH(B15)+1,1)),"")</f>
        <v>46143</v>
      </c>
      <c r="C16" s="112">
        <f>IFERROR(IF(DATE(YEAR('Calculation sheet'!$B16),MONTH('Calculation sheet'!$B16),1)=DATE(YEAR(Input!$E$4),MONTH(Input!$E$4),1),Input!$H$4,IF('Calculation sheet'!$B16&lt;&gt;"",DAY(EOMONTH('Calculation sheet'!$B16,0)),"")),"")</f>
        <v>31</v>
      </c>
      <c r="D16" s="105">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8.1199999999999994E-2</v>
      </c>
      <c r="E16" s="113">
        <f>IF(AND('Calculation sheet'!$C16&lt;&gt;0,'Calculation sheet'!$D16=0%),D15,'Calculation sheet'!$D16)</f>
        <v>8.1199999999999994E-2</v>
      </c>
      <c r="F16" s="105">
        <f t="shared" si="0"/>
        <v>8.1199999999999994E-2</v>
      </c>
      <c r="G16" s="106">
        <f>IFERROR(IF('Calculation sheet'!$F16&lt;&gt;"",$A$4*'Calculation sheet'!$C16*'Calculation sheet'!$F16/N16,""),"")</f>
        <v>34482.191780821915</v>
      </c>
      <c r="H16" s="105">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8.2500000000000004E-2</v>
      </c>
      <c r="I16" s="114">
        <f>IF(AND('Calculation sheet'!$C16&lt;&gt;0,'Calculation sheet'!$H16=0%),H15,'Calculation sheet'!$H16)</f>
        <v>8.2500000000000004E-2</v>
      </c>
      <c r="J16" s="108">
        <f t="shared" si="1"/>
        <v>8.2500000000000004E-2</v>
      </c>
      <c r="K16" s="106">
        <f>IFERROR($A$4*'Calculation sheet'!$C16*'Calculation sheet'!$J16/N16,"")</f>
        <v>35034.246575342462</v>
      </c>
      <c r="L16" s="115">
        <f>IFERROR('Calculation sheet'!$K16-'Calculation sheet'!$G16,"")</f>
        <v>552.05479452054715</v>
      </c>
      <c r="M16">
        <f t="shared" si="2"/>
        <v>2026</v>
      </c>
      <c r="N16" s="133">
        <f t="shared" si="3"/>
        <v>365</v>
      </c>
      <c r="O16" s="54"/>
      <c r="P16" s="54"/>
    </row>
    <row r="17" spans="1:16" x14ac:dyDescent="0.25">
      <c r="A17" s="100">
        <v>11</v>
      </c>
      <c r="B17" s="103">
        <f>IFERROR(IF(DATE(YEAR(B16),MONTH(B16),1)&gt;=DATE(YEAR(Input!$E$4),MONTH(Input!$E$4),1),"",DATE(YEAR(B16),MONTH(B16)+1,1)),"")</f>
        <v>46174</v>
      </c>
      <c r="C17" s="104">
        <f>IFERROR(IF(DATE(YEAR('Calculation sheet'!$B17),MONTH('Calculation sheet'!$B17),1)=DATE(YEAR(Input!$E$4),MONTH(Input!$E$4),1),Input!$H$4,IF('Calculation sheet'!$B17&lt;&gt;"",DAY(EOMONTH('Calculation sheet'!$B17,0)),"")),"")</f>
        <v>30</v>
      </c>
      <c r="D17" s="105">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8.1199999999999994E-2</v>
      </c>
      <c r="E17" s="105">
        <f>IF(AND('Calculation sheet'!$C17&lt;&gt;0,'Calculation sheet'!$D17=0%),D16,'Calculation sheet'!$D17)</f>
        <v>8.1199999999999994E-2</v>
      </c>
      <c r="F17" s="105">
        <f t="shared" si="0"/>
        <v>8.1199999999999994E-2</v>
      </c>
      <c r="G17" s="106">
        <f>IFERROR(IF('Calculation sheet'!$F17&lt;&gt;"",$A$4*'Calculation sheet'!$C17*'Calculation sheet'!$F17/N17,""),"")</f>
        <v>33369.863013698632</v>
      </c>
      <c r="H17" s="105">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8.2500000000000004E-2</v>
      </c>
      <c r="I17" s="107">
        <f>IF(AND('Calculation sheet'!$C17&lt;&gt;0,'Calculation sheet'!$H17=0%),H16,'Calculation sheet'!$H17)</f>
        <v>8.2500000000000004E-2</v>
      </c>
      <c r="J17" s="108">
        <f t="shared" si="1"/>
        <v>8.2500000000000004E-2</v>
      </c>
      <c r="K17" s="106">
        <f>IFERROR($A$4*'Calculation sheet'!$C17*'Calculation sheet'!$J17/N17,"")</f>
        <v>33904.109589041094</v>
      </c>
      <c r="L17" s="110">
        <f>IFERROR('Calculation sheet'!$K17-'Calculation sheet'!$G17,"")</f>
        <v>534.24657534246217</v>
      </c>
      <c r="M17">
        <f t="shared" si="2"/>
        <v>2026</v>
      </c>
      <c r="N17" s="133">
        <f t="shared" si="3"/>
        <v>365</v>
      </c>
      <c r="O17" s="54"/>
      <c r="P17" s="54"/>
    </row>
    <row r="18" spans="1:16" x14ac:dyDescent="0.25">
      <c r="A18" s="101">
        <v>12</v>
      </c>
      <c r="B18" s="111">
        <f>IFERROR(IF(DATE(YEAR(B17),MONTH(B17),1)&gt;=DATE(YEAR(Input!$E$4),MONTH(Input!$E$4),1),"",DATE(YEAR(B17),MONTH(B17)+1,1)),"")</f>
        <v>46204</v>
      </c>
      <c r="C18" s="112">
        <f>IFERROR(IF(DATE(YEAR('Calculation sheet'!$B18),MONTH('Calculation sheet'!$B18),1)=DATE(YEAR(Input!$E$4),MONTH(Input!$E$4),1),Input!$H$4,IF('Calculation sheet'!$B18&lt;&gt;"",DAY(EOMONTH('Calculation sheet'!$B18,0)),"")),"")</f>
        <v>7</v>
      </c>
      <c r="D18" s="105">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8.1199999999999994E-2</v>
      </c>
      <c r="E18" s="113">
        <f>IF(AND('Calculation sheet'!$C18&lt;&gt;0,'Calculation sheet'!$D18=0%),D17,'Calculation sheet'!$D18)</f>
        <v>8.1199999999999994E-2</v>
      </c>
      <c r="F18" s="105">
        <f t="shared" si="0"/>
        <v>8.1199999999999994E-2</v>
      </c>
      <c r="G18" s="106">
        <f>IFERROR(IF('Calculation sheet'!$F18&lt;&gt;"",$A$4*'Calculation sheet'!$C18*'Calculation sheet'!$F18/N18,""),"")</f>
        <v>7786.3013698630139</v>
      </c>
      <c r="H18" s="105">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8.2500000000000004E-2</v>
      </c>
      <c r="I18" s="114">
        <f>IF(AND('Calculation sheet'!$C18&lt;&gt;0,'Calculation sheet'!$H18=0%),H17,'Calculation sheet'!$H18)</f>
        <v>8.2500000000000004E-2</v>
      </c>
      <c r="J18" s="108">
        <f t="shared" si="1"/>
        <v>8.2500000000000004E-2</v>
      </c>
      <c r="K18" s="106">
        <f>IFERROR($A$4*'Calculation sheet'!$C18*'Calculation sheet'!$J18/N18,"")</f>
        <v>7910.9589041095887</v>
      </c>
      <c r="L18" s="115">
        <f>IFERROR('Calculation sheet'!$K18-'Calculation sheet'!$G18,"")</f>
        <v>124.65753424657487</v>
      </c>
      <c r="M18">
        <f t="shared" si="2"/>
        <v>2026</v>
      </c>
      <c r="N18" s="133">
        <f t="shared" si="3"/>
        <v>365</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F25" sqref="F25"/>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46211</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5" t="s">
        <v>34</v>
      </c>
      <c r="C6" s="175"/>
      <c r="D6" s="175"/>
      <c r="E6" s="175"/>
      <c r="F6" s="175"/>
      <c r="G6" s="175"/>
      <c r="H6" s="175"/>
      <c r="I6" s="175"/>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71" t="s">
        <v>37</v>
      </c>
      <c r="C12" s="171"/>
      <c r="D12" s="171"/>
      <c r="E12" s="176" t="str">
        <f>"Mr. / Mst. "&amp;Input!B6&amp;"     "</f>
        <v xml:space="preserve">Mr. / Mst. Saleem     </v>
      </c>
      <c r="F12" s="177"/>
      <c r="G12" s="177"/>
      <c r="H12" s="177"/>
      <c r="I12" s="178"/>
    </row>
    <row r="13" spans="2:10" ht="15.75" x14ac:dyDescent="0.25">
      <c r="B13" s="176" t="s">
        <v>38</v>
      </c>
      <c r="C13" s="177"/>
      <c r="D13" s="178"/>
      <c r="E13" s="176">
        <f>Input!B7</f>
        <v>3001330647</v>
      </c>
      <c r="F13" s="177"/>
      <c r="G13" s="177"/>
      <c r="H13" s="177"/>
      <c r="I13" s="178"/>
    </row>
    <row r="14" spans="2:10" ht="15" customHeight="1" x14ac:dyDescent="0.25">
      <c r="B14" s="171" t="s">
        <v>9</v>
      </c>
      <c r="C14" s="171"/>
      <c r="D14" s="171"/>
      <c r="E14" s="172">
        <f>Input!B8</f>
        <v>3005290219</v>
      </c>
      <c r="F14" s="173"/>
      <c r="G14" s="173"/>
      <c r="H14" s="173"/>
      <c r="I14" s="174"/>
    </row>
    <row r="15" spans="2:10" ht="15.75" x14ac:dyDescent="0.25">
      <c r="B15" s="171" t="s">
        <v>3</v>
      </c>
      <c r="C15" s="171"/>
      <c r="D15" s="171"/>
      <c r="E15" s="179" t="str">
        <f>TEXT(Input!B9,"0,000")</f>
        <v>5,000,000</v>
      </c>
      <c r="F15" s="180"/>
      <c r="G15" s="180"/>
      <c r="H15" s="180"/>
      <c r="I15" s="181"/>
    </row>
    <row r="16" spans="2:10" x14ac:dyDescent="0.25">
      <c r="B16" s="182" t="s">
        <v>39</v>
      </c>
      <c r="C16" s="183"/>
      <c r="D16" s="184"/>
      <c r="E16" s="182" t="str">
        <f>Input!B10</f>
        <v>IMC (1 Year)</v>
      </c>
      <c r="F16" s="183"/>
      <c r="G16" s="183"/>
      <c r="H16" s="183"/>
      <c r="I16" s="184"/>
    </row>
    <row r="17" spans="2:9" ht="15" customHeight="1" x14ac:dyDescent="0.25">
      <c r="B17" s="171" t="s">
        <v>40</v>
      </c>
      <c r="C17" s="171"/>
      <c r="D17" s="171"/>
      <c r="E17" s="185">
        <f>Input!B11</f>
        <v>45895</v>
      </c>
      <c r="F17" s="186"/>
      <c r="G17" s="186"/>
      <c r="H17" s="186"/>
      <c r="I17" s="187"/>
    </row>
    <row r="18" spans="2:9" ht="15.75" x14ac:dyDescent="0.25">
      <c r="B18" s="171" t="s">
        <v>41</v>
      </c>
      <c r="C18" s="171"/>
      <c r="D18" s="171"/>
      <c r="E18" s="185">
        <f>Input!B12</f>
        <v>46260</v>
      </c>
      <c r="F18" s="186"/>
      <c r="G18" s="186"/>
      <c r="H18" s="186"/>
      <c r="I18" s="187"/>
    </row>
    <row r="19" spans="2:9" ht="15" customHeight="1" x14ac:dyDescent="0.25">
      <c r="B19" s="171" t="s">
        <v>42</v>
      </c>
      <c r="C19" s="171"/>
      <c r="D19" s="171"/>
      <c r="E19" s="185">
        <f>Input!B13</f>
        <v>46211</v>
      </c>
      <c r="F19" s="186"/>
      <c r="G19" s="186"/>
      <c r="H19" s="186"/>
      <c r="I19" s="187"/>
    </row>
    <row r="20" spans="2:9" ht="15" customHeight="1" x14ac:dyDescent="0.25">
      <c r="B20" s="171" t="s">
        <v>43</v>
      </c>
      <c r="C20" s="171"/>
      <c r="D20" s="171"/>
      <c r="E20" s="176" t="str">
        <f>Input!B15</f>
        <v>Funds Required</v>
      </c>
      <c r="F20" s="177"/>
      <c r="G20" s="177"/>
      <c r="H20" s="177"/>
      <c r="I20" s="178"/>
    </row>
    <row r="21" spans="2:9" ht="12" customHeight="1" x14ac:dyDescent="0.25">
      <c r="B21" s="23"/>
      <c r="C21" s="23"/>
      <c r="D21" s="23"/>
      <c r="E21" s="23"/>
      <c r="F21" s="23"/>
      <c r="G21" s="23"/>
      <c r="H21" s="23"/>
      <c r="I21" s="23"/>
    </row>
    <row r="22" spans="2:9" ht="47.25" customHeight="1" x14ac:dyDescent="0.25">
      <c r="B22" s="189" t="s">
        <v>44</v>
      </c>
      <c r="C22" s="189"/>
      <c r="D22" s="189"/>
      <c r="E22" s="189"/>
      <c r="F22" s="189"/>
      <c r="G22" s="189"/>
      <c r="H22" s="189"/>
      <c r="I22" s="189"/>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0" t="s">
        <v>106</v>
      </c>
      <c r="C29" s="190"/>
      <c r="D29" s="190"/>
      <c r="E29" s="190"/>
      <c r="F29" s="190"/>
      <c r="G29" s="190"/>
      <c r="H29" s="190"/>
      <c r="I29" s="190"/>
    </row>
    <row r="30" spans="2:9" ht="15.75" customHeight="1" x14ac:dyDescent="0.25">
      <c r="B30" s="40"/>
      <c r="C30" s="40"/>
      <c r="D30" s="40"/>
      <c r="E30" s="191" t="str">
        <f>TEXT('Calculation sheet'!J4,"#,###,###.00")</f>
        <v>4,994,372.60</v>
      </c>
      <c r="F30" s="191"/>
      <c r="G30" s="191"/>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2" t="s">
        <v>49</v>
      </c>
      <c r="C36" s="192"/>
      <c r="D36" s="192"/>
      <c r="E36" s="192"/>
      <c r="F36" s="192"/>
      <c r="G36" s="192"/>
      <c r="H36" s="192"/>
      <c r="I36" s="192"/>
    </row>
    <row r="37" spans="2:10" ht="15.75" x14ac:dyDescent="0.25">
      <c r="B37" s="193" t="s">
        <v>31</v>
      </c>
      <c r="C37" s="193"/>
      <c r="D37" s="193"/>
      <c r="E37" s="193"/>
      <c r="F37" s="193"/>
      <c r="G37" s="193"/>
      <c r="H37" s="193"/>
      <c r="I37" s="193"/>
    </row>
    <row r="38" spans="2:10" ht="38.25" customHeight="1" x14ac:dyDescent="0.25">
      <c r="B38" s="194" t="str">
        <f>"I accept the above Price. Please credit my account No."&amp;E13&amp;" with amount of Rs."&amp;E30&amp;" on date: "&amp;TEXT(I1,"dd mmm yyyy")</f>
        <v>I accept the above Price. Please credit my account No.3001330647 with amount of Rs.4,994,372.60 on date: 08 Jul 2026</v>
      </c>
      <c r="C38" s="194"/>
      <c r="D38" s="194"/>
      <c r="E38" s="194"/>
      <c r="F38" s="194"/>
      <c r="G38" s="194"/>
      <c r="H38" s="194"/>
      <c r="I38" s="194"/>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5" t="s">
        <v>52</v>
      </c>
      <c r="I41" s="195"/>
      <c r="J41" s="45" t="str">
        <f>"This transaction should be on "&amp;TEXT(E19,"dd mmm yyyy")&amp;", Otherwise recalculate."</f>
        <v>This transaction should be on 08 Jul 2026,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6" t="s">
        <v>53</v>
      </c>
      <c r="C45" s="196"/>
      <c r="D45" s="196"/>
      <c r="E45" s="196"/>
      <c r="F45" s="196"/>
      <c r="G45" s="196"/>
      <c r="H45" s="196"/>
      <c r="I45" s="196"/>
    </row>
    <row r="46" spans="2:10" ht="15.75" x14ac:dyDescent="0.25">
      <c r="B46" s="197" t="s">
        <v>54</v>
      </c>
      <c r="C46" s="197"/>
      <c r="D46" s="197"/>
      <c r="E46" s="197"/>
      <c r="F46" s="197"/>
      <c r="G46" s="197"/>
      <c r="H46" s="197"/>
      <c r="I46" s="197"/>
    </row>
    <row r="47" spans="2:10" ht="15.75" x14ac:dyDescent="0.25">
      <c r="C47" s="44"/>
      <c r="D47" s="42"/>
      <c r="E47" s="23"/>
      <c r="F47" s="23"/>
      <c r="G47" s="23"/>
      <c r="H47" s="23"/>
      <c r="I47" s="23"/>
    </row>
    <row r="50" spans="2:9" ht="15.75" x14ac:dyDescent="0.25">
      <c r="B50" s="198">
        <f>I1</f>
        <v>46211</v>
      </c>
      <c r="C50" s="198"/>
      <c r="D50" s="198"/>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9" t="s">
        <v>58</v>
      </c>
      <c r="C56" s="199"/>
      <c r="D56" s="199"/>
      <c r="E56" s="199"/>
      <c r="F56" s="199"/>
      <c r="G56" s="199"/>
      <c r="H56" s="199"/>
      <c r="I56" s="199"/>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8" t="s">
        <v>60</v>
      </c>
      <c r="C60" s="188"/>
      <c r="D60" s="188"/>
      <c r="E60" s="188"/>
      <c r="F60" s="188"/>
      <c r="G60" s="188"/>
      <c r="H60" s="188"/>
      <c r="I60" s="188"/>
    </row>
    <row r="61" spans="2:9" ht="16.5" thickBot="1" x14ac:dyDescent="0.3">
      <c r="B61" s="23"/>
      <c r="C61" s="23"/>
      <c r="D61" s="23"/>
      <c r="E61" s="23"/>
      <c r="F61" s="23"/>
      <c r="G61" s="23"/>
      <c r="H61" s="23"/>
      <c r="I61" s="23"/>
    </row>
    <row r="62" spans="2:9" ht="15.75" x14ac:dyDescent="0.25">
      <c r="B62" s="200" t="str">
        <f>E12</f>
        <v xml:space="preserve">Mr. / Mst. Saleem     </v>
      </c>
      <c r="C62" s="201"/>
      <c r="D62" s="201"/>
      <c r="E62" s="201"/>
      <c r="F62" s="201"/>
      <c r="G62" s="202" t="s">
        <v>61</v>
      </c>
      <c r="H62" s="202"/>
      <c r="I62" s="203"/>
    </row>
    <row r="63" spans="2:9" ht="15.75" x14ac:dyDescent="0.25">
      <c r="B63" s="204">
        <f t="shared" ref="B63:B70" si="0">E13</f>
        <v>3001330647</v>
      </c>
      <c r="C63" s="171"/>
      <c r="D63" s="171"/>
      <c r="E63" s="171"/>
      <c r="F63" s="171"/>
      <c r="G63" s="205" t="s">
        <v>62</v>
      </c>
      <c r="H63" s="205"/>
      <c r="I63" s="206"/>
    </row>
    <row r="64" spans="2:9" ht="15.75" x14ac:dyDescent="0.25">
      <c r="B64" s="204">
        <f t="shared" si="0"/>
        <v>3005290219</v>
      </c>
      <c r="C64" s="171"/>
      <c r="D64" s="171"/>
      <c r="E64" s="171"/>
      <c r="F64" s="171"/>
      <c r="G64" s="207" t="s">
        <v>63</v>
      </c>
      <c r="H64" s="208"/>
      <c r="I64" s="209"/>
    </row>
    <row r="65" spans="2:9" ht="15.75" x14ac:dyDescent="0.25">
      <c r="B65" s="204" t="str">
        <f t="shared" si="0"/>
        <v>5,000,000</v>
      </c>
      <c r="C65" s="171"/>
      <c r="D65" s="171"/>
      <c r="E65" s="171"/>
      <c r="F65" s="171"/>
      <c r="G65" s="207" t="s">
        <v>64</v>
      </c>
      <c r="H65" s="208"/>
      <c r="I65" s="209"/>
    </row>
    <row r="66" spans="2:9" ht="15.75" x14ac:dyDescent="0.25">
      <c r="B66" s="204" t="str">
        <f t="shared" si="0"/>
        <v>IMC (1 Year)</v>
      </c>
      <c r="C66" s="171"/>
      <c r="D66" s="171"/>
      <c r="E66" s="171"/>
      <c r="F66" s="171"/>
      <c r="G66" s="207" t="s">
        <v>65</v>
      </c>
      <c r="H66" s="208"/>
      <c r="I66" s="209"/>
    </row>
    <row r="67" spans="2:9" ht="15.75" x14ac:dyDescent="0.25">
      <c r="B67" s="210" t="str">
        <f>TEXT(E17,"dd mmm yyyy")</f>
        <v>26 Aug 2025</v>
      </c>
      <c r="C67" s="211"/>
      <c r="D67" s="211"/>
      <c r="E67" s="211"/>
      <c r="F67" s="211"/>
      <c r="G67" s="207" t="s">
        <v>66</v>
      </c>
      <c r="H67" s="208"/>
      <c r="I67" s="209"/>
    </row>
    <row r="68" spans="2:9" ht="15.75" x14ac:dyDescent="0.25">
      <c r="B68" s="210" t="str">
        <f t="shared" ref="B68:B69" si="1">TEXT(E18,"dd mmm yyyy")</f>
        <v>26 Aug 2026</v>
      </c>
      <c r="C68" s="211"/>
      <c r="D68" s="211"/>
      <c r="E68" s="211"/>
      <c r="F68" s="211"/>
      <c r="G68" s="205" t="s">
        <v>67</v>
      </c>
      <c r="H68" s="205"/>
      <c r="I68" s="206"/>
    </row>
    <row r="69" spans="2:9" ht="15.75" x14ac:dyDescent="0.25">
      <c r="B69" s="210" t="str">
        <f t="shared" si="1"/>
        <v>08 Jul 2026</v>
      </c>
      <c r="C69" s="211"/>
      <c r="D69" s="211"/>
      <c r="E69" s="211"/>
      <c r="F69" s="211"/>
      <c r="G69" s="205" t="s">
        <v>68</v>
      </c>
      <c r="H69" s="205"/>
      <c r="I69" s="206"/>
    </row>
    <row r="70" spans="2:9" ht="16.5" thickBot="1" x14ac:dyDescent="0.3">
      <c r="B70" s="212" t="str">
        <f t="shared" si="0"/>
        <v>Funds Required</v>
      </c>
      <c r="C70" s="213"/>
      <c r="D70" s="213"/>
      <c r="E70" s="213"/>
      <c r="F70" s="213"/>
      <c r="G70" s="214" t="s">
        <v>69</v>
      </c>
      <c r="H70" s="214"/>
      <c r="I70" s="215"/>
    </row>
    <row r="71" spans="2:9" ht="15.75" x14ac:dyDescent="0.25">
      <c r="B71" s="23"/>
      <c r="C71" s="23"/>
      <c r="D71" s="23"/>
      <c r="E71" s="23"/>
      <c r="F71" s="23"/>
      <c r="G71" s="23"/>
      <c r="H71" s="23"/>
      <c r="I71" s="23"/>
    </row>
    <row r="72" spans="2:9" x14ac:dyDescent="0.25">
      <c r="B72" s="216" t="s">
        <v>70</v>
      </c>
      <c r="C72" s="216"/>
      <c r="D72" s="216"/>
      <c r="E72" s="216"/>
      <c r="F72" s="216"/>
      <c r="G72" s="216"/>
      <c r="H72" s="216"/>
      <c r="I72" s="216"/>
    </row>
    <row r="73" spans="2:9" x14ac:dyDescent="0.25">
      <c r="B73" s="216"/>
      <c r="C73" s="216"/>
      <c r="D73" s="216"/>
      <c r="E73" s="216"/>
      <c r="F73" s="216"/>
      <c r="G73" s="216"/>
      <c r="H73" s="216"/>
      <c r="I73" s="216"/>
    </row>
    <row r="74" spans="2:9" x14ac:dyDescent="0.25">
      <c r="B74" s="216"/>
      <c r="C74" s="216"/>
      <c r="D74" s="216"/>
      <c r="E74" s="216"/>
      <c r="F74" s="216"/>
      <c r="G74" s="216"/>
      <c r="H74" s="216"/>
      <c r="I74" s="216"/>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7" t="s">
        <v>73</v>
      </c>
      <c r="C79" s="217"/>
      <c r="D79" s="217"/>
      <c r="E79" s="217"/>
      <c r="F79" s="217"/>
      <c r="G79" s="217"/>
      <c r="H79" s="217"/>
      <c r="I79" s="217"/>
    </row>
    <row r="80" spans="2:9" ht="15.75" x14ac:dyDescent="0.25">
      <c r="B80" s="50"/>
      <c r="C80" s="50"/>
      <c r="D80" s="50"/>
      <c r="E80" s="50"/>
      <c r="F80" s="50"/>
      <c r="G80" s="50"/>
      <c r="H80" s="50"/>
      <c r="I80" s="50"/>
    </row>
    <row r="81" spans="2:19" ht="15.75" x14ac:dyDescent="0.25">
      <c r="B81" s="40"/>
      <c r="C81" s="40"/>
      <c r="D81" s="40"/>
      <c r="E81" s="191" t="str">
        <f>E30</f>
        <v>4,994,372.60</v>
      </c>
      <c r="F81" s="191"/>
      <c r="G81" s="191"/>
      <c r="H81" s="40"/>
      <c r="I81" s="40"/>
      <c r="S81" s="25" t="s">
        <v>74</v>
      </c>
    </row>
    <row r="82" spans="2:19" ht="15.75" x14ac:dyDescent="0.25">
      <c r="B82" s="40"/>
      <c r="C82" s="40"/>
      <c r="D82" s="40"/>
      <c r="E82" s="40"/>
      <c r="F82" s="40"/>
      <c r="G82" s="40"/>
      <c r="H82" s="40"/>
      <c r="I82" s="40"/>
      <c r="S82" s="25" t="s">
        <v>75</v>
      </c>
    </row>
    <row r="83" spans="2:19" ht="15.75" x14ac:dyDescent="0.25">
      <c r="B83" s="196" t="s">
        <v>48</v>
      </c>
      <c r="C83" s="196"/>
      <c r="D83" s="196"/>
      <c r="E83" s="29"/>
      <c r="F83" s="29"/>
      <c r="G83" s="29"/>
      <c r="H83" s="218" t="s">
        <v>49</v>
      </c>
      <c r="I83" s="218"/>
      <c r="S83" s="25" t="str">
        <f>"اکاؤنٹ نمبر"&amp;B63</f>
        <v>اکاؤنٹ نمبر3001330647</v>
      </c>
    </row>
    <row r="84" spans="2:19" ht="15.75" x14ac:dyDescent="0.25">
      <c r="B84" s="193" t="s">
        <v>76</v>
      </c>
      <c r="C84" s="193"/>
      <c r="D84" s="193"/>
      <c r="E84" s="29"/>
      <c r="F84" s="29"/>
      <c r="G84" s="29"/>
      <c r="I84" s="51" t="s">
        <v>77</v>
      </c>
      <c r="S84" s="25" t="s">
        <v>78</v>
      </c>
    </row>
    <row r="85" spans="2:19" ht="15.75" x14ac:dyDescent="0.25">
      <c r="B85" s="41"/>
      <c r="C85" s="30"/>
      <c r="D85" s="31"/>
      <c r="E85" s="29"/>
      <c r="F85" s="29"/>
      <c r="G85" s="29"/>
      <c r="H85" s="41"/>
      <c r="S85" s="25" t="str">
        <f>E30</f>
        <v>4,994,372.60</v>
      </c>
    </row>
    <row r="86" spans="2:19" ht="15.75" x14ac:dyDescent="0.25">
      <c r="B86" s="41"/>
      <c r="C86" s="30"/>
      <c r="D86" s="31"/>
      <c r="E86" s="29"/>
      <c r="F86" s="29"/>
      <c r="G86" s="29"/>
      <c r="H86" s="41"/>
      <c r="I86" s="30"/>
      <c r="S86" s="49" t="s">
        <v>79</v>
      </c>
    </row>
    <row r="87" spans="2:19" ht="15.75" x14ac:dyDescent="0.25">
      <c r="B87" s="192" t="s">
        <v>49</v>
      </c>
      <c r="C87" s="192"/>
      <c r="D87" s="192"/>
      <c r="E87" s="192"/>
      <c r="F87" s="192"/>
      <c r="G87" s="192"/>
      <c r="H87" s="192"/>
      <c r="I87" s="192"/>
    </row>
    <row r="88" spans="2:19" ht="15.75" x14ac:dyDescent="0.25">
      <c r="B88" s="193" t="s">
        <v>55</v>
      </c>
      <c r="C88" s="193"/>
      <c r="D88" s="193"/>
      <c r="E88" s="193"/>
      <c r="F88" s="193"/>
      <c r="G88" s="193"/>
      <c r="H88" s="193"/>
      <c r="I88" s="193"/>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نمبر3001330647 میں 4,994,372.60 کریڈٹ کر دیں۔</v>
      </c>
    </row>
    <row r="90" spans="2:19" ht="15" customHeight="1" x14ac:dyDescent="0.25">
      <c r="B90" s="219" t="str">
        <f>R89</f>
        <v>مجھے مندرجہ بالا قیمت قبول ہے.براہ مہربانی میرےاکاؤنٹ نمبر3001330647 میں 4,994,372.60 کریڈٹ کر دیں۔</v>
      </c>
      <c r="C90" s="219"/>
      <c r="D90" s="219"/>
      <c r="E90" s="219"/>
      <c r="F90" s="219"/>
      <c r="G90" s="219"/>
      <c r="H90" s="219"/>
      <c r="I90" s="21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8" t="s">
        <v>52</v>
      </c>
      <c r="H94" s="188"/>
      <c r="I94" s="188"/>
      <c r="J94" s="45" t="str">
        <f>J41</f>
        <v>This transaction should be on 08 Jul 2026,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6" t="s">
        <v>53</v>
      </c>
      <c r="C97" s="196"/>
      <c r="D97" s="196"/>
      <c r="E97" s="196"/>
      <c r="F97" s="196"/>
      <c r="G97" s="196"/>
      <c r="H97" s="196"/>
      <c r="I97" s="196"/>
    </row>
    <row r="98" spans="2:9" ht="15.75" x14ac:dyDescent="0.25">
      <c r="B98" s="197" t="s">
        <v>80</v>
      </c>
      <c r="C98" s="197"/>
      <c r="D98" s="197"/>
      <c r="E98" s="197"/>
      <c r="F98" s="197"/>
      <c r="G98" s="197"/>
      <c r="H98" s="197"/>
      <c r="I98" s="197"/>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
  <sheetViews>
    <sheetView workbookViewId="0">
      <pane ySplit="1" topLeftCell="A68" activePane="bottomLeft" state="frozen"/>
      <selection pane="bottomLeft" activeCell="E80" sqref="E80"/>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row r="80" spans="1:7" x14ac:dyDescent="0.25">
      <c r="A80" s="151">
        <v>46054</v>
      </c>
      <c r="B80" s="150">
        <v>8.1199999999999994E-2</v>
      </c>
      <c r="C80" s="150">
        <v>8.2500000000000004E-2</v>
      </c>
      <c r="D80" s="150">
        <v>8.3799999999999999E-2</v>
      </c>
      <c r="E80" s="150">
        <v>8.5099999999999995E-2</v>
      </c>
      <c r="F80" s="150">
        <v>8.6400000000000005E-2</v>
      </c>
      <c r="G80" s="150">
        <v>8.77E-2</v>
      </c>
    </row>
    <row r="81" spans="1:7" x14ac:dyDescent="0.25">
      <c r="A81" s="151">
        <v>46082</v>
      </c>
      <c r="B81" s="150">
        <v>8.1199999999999994E-2</v>
      </c>
      <c r="C81" s="150">
        <v>8.2500000000000004E-2</v>
      </c>
      <c r="D81" s="150">
        <v>8.3799999999999999E-2</v>
      </c>
      <c r="E81" s="150">
        <v>8.5099999999999995E-2</v>
      </c>
      <c r="F81" s="150">
        <v>8.6400000000000005E-2</v>
      </c>
      <c r="G81" s="150">
        <v>8.77E-2</v>
      </c>
    </row>
    <row r="82" spans="1:7" x14ac:dyDescent="0.25">
      <c r="A82" s="151">
        <v>46113</v>
      </c>
      <c r="B82" s="150">
        <v>8.1199999999999994E-2</v>
      </c>
      <c r="C82" s="150">
        <v>8.2500000000000004E-2</v>
      </c>
      <c r="D82" s="150">
        <v>8.3799999999999999E-2</v>
      </c>
      <c r="E82" s="150">
        <v>8.5099999999999995E-2</v>
      </c>
      <c r="F82" s="150">
        <v>8.6400000000000005E-2</v>
      </c>
      <c r="G82" s="150">
        <v>8.77E-2</v>
      </c>
    </row>
    <row r="83" spans="1:7" x14ac:dyDescent="0.25">
      <c r="A83" s="151">
        <v>46143</v>
      </c>
      <c r="B83" s="150">
        <v>8.1199999999999994E-2</v>
      </c>
      <c r="C83" s="150">
        <v>8.2500000000000004E-2</v>
      </c>
      <c r="D83" s="150">
        <v>8.3799999999999999E-2</v>
      </c>
      <c r="E83" s="150">
        <v>8.5099999999999995E-2</v>
      </c>
      <c r="F83" s="150">
        <v>8.6400000000000005E-2</v>
      </c>
      <c r="G83" s="150">
        <v>8.77E-2</v>
      </c>
    </row>
    <row r="84" spans="1:7" x14ac:dyDescent="0.25">
      <c r="A84" s="151">
        <v>46174</v>
      </c>
      <c r="B84" s="150">
        <v>8.1199999999999994E-2</v>
      </c>
      <c r="C84" s="150">
        <v>8.2500000000000004E-2</v>
      </c>
      <c r="D84" s="150">
        <v>8.3799999999999999E-2</v>
      </c>
      <c r="E84" s="150">
        <v>8.5099999999999995E-2</v>
      </c>
      <c r="F84" s="150">
        <v>8.6400000000000005E-2</v>
      </c>
      <c r="G84" s="150">
        <v>8.77E-2</v>
      </c>
    </row>
  </sheetData>
  <sheetProtection algorithmName="SHA-512" hashValue="IASoSUfRU8ujv864oIuR1kl7sxWJdwFGtanbRZsoB2lycfRioBDIWvTEbUMd9LdQWUlC+xRQcAtMqYc9h+aZfw==" saltValue="xspV0cZNgz5pzR+KhaLRpw=="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2026-07-08T05:43:18Z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